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umptions" sheetId="1" state="visible" r:id="rId1"/>
    <sheet xmlns:r="http://schemas.openxmlformats.org/officeDocument/2006/relationships" name="P&amp;L" sheetId="2" state="visible" r:id="rId2"/>
    <sheet xmlns:r="http://schemas.openxmlformats.org/officeDocument/2006/relationships" name="Build-out" sheetId="3" state="visible" r:id="rId3"/>
    <sheet xmlns:r="http://schemas.openxmlformats.org/officeDocument/2006/relationships" name="Sensitivity" sheetId="4" state="visible" r:id="rId4"/>
    <sheet xmlns:r="http://schemas.openxmlformats.org/officeDocument/2006/relationships" name="Use of Funds" sheetId="5" state="visible" r:id="rId5"/>
    <sheet xmlns:r="http://schemas.openxmlformats.org/officeDocument/2006/relationships" name="READM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$#,##0"/>
    <numFmt numFmtId="166" formatCode="0.0x"/>
    <numFmt numFmtId="167" formatCode="$0.00"/>
  </numFmts>
  <fonts count="8">
    <font>
      <name val="Calibri"/>
      <family val="2"/>
      <color theme="1"/>
      <sz val="11"/>
      <scheme val="minor"/>
    </font>
    <font>
      <b val="1"/>
      <color rgb="000F2329"/>
      <sz val="15"/>
    </font>
    <font>
      <i val="1"/>
      <color rgb="005A6B72"/>
      <sz val="9"/>
    </font>
    <font>
      <b val="1"/>
      <color rgb="000D6E6E"/>
      <sz val="11"/>
    </font>
    <font>
      <b val="1"/>
    </font>
    <font>
      <b val="1"/>
      <color rgb="00FFFFFF"/>
    </font>
    <font/>
    <font>
      <b val="1"/>
      <color rgb="001B5E20"/>
    </font>
  </fonts>
  <fills count="5">
    <fill>
      <patternFill/>
    </fill>
    <fill>
      <patternFill patternType="gray125"/>
    </fill>
    <fill>
      <patternFill patternType="solid">
        <fgColor rgb="00FFF8EC"/>
      </patternFill>
    </fill>
    <fill>
      <patternFill patternType="solid">
        <fgColor rgb="000D6E6E"/>
      </patternFill>
    </fill>
    <fill>
      <patternFill patternType="solid">
        <fgColor rgb="00E3F0E3"/>
      </patternFill>
    </fill>
  </fills>
  <borders count="2">
    <border>
      <left/>
      <right/>
      <top/>
      <bottom/>
      <diagonal/>
    </border>
    <border>
      <left style="thin">
        <color rgb="00D9E2E5"/>
      </left>
      <right style="thin">
        <color rgb="00D9E2E5"/>
      </right>
      <top style="thin">
        <color rgb="00D9E2E5"/>
      </top>
      <bottom style="thin">
        <color rgb="00D9E2E5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0" fontId="0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2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right"/>
    </xf>
    <xf numFmtId="164" fontId="0" fillId="2" borderId="1" applyAlignment="1" pivotButton="0" quotePrefix="0" xfId="0">
      <alignment horizontal="right"/>
    </xf>
    <xf numFmtId="165" fontId="0" fillId="2" borderId="1" applyAlignment="1" pivotButton="0" quotePrefix="0" xfId="0">
      <alignment horizontal="right"/>
    </xf>
    <xf numFmtId="0" fontId="5" fillId="3" borderId="1" applyAlignment="1" pivotButton="0" quotePrefix="0" xfId="0">
      <alignment vertical="top" wrapText="1"/>
    </xf>
    <xf numFmtId="0" fontId="6" fillId="0" borderId="1" pivotButton="0" quotePrefix="0" xfId="0"/>
    <xf numFmtId="3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right"/>
    </xf>
    <xf numFmtId="165" fontId="7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166" fontId="7" fillId="0" borderId="1" applyAlignment="1" pivotButton="0" quotePrefix="0" xfId="0">
      <alignment horizontal="right"/>
    </xf>
    <xf numFmtId="164" fontId="7" fillId="0" borderId="1" applyAlignment="1" pivotButton="0" quotePrefix="0" xfId="0">
      <alignment horizontal="right"/>
    </xf>
    <xf numFmtId="0" fontId="2" fillId="0" borderId="0" applyAlignment="1" pivotButton="0" quotePrefix="0" xfId="0">
      <alignment vertical="top" wrapText="1"/>
    </xf>
    <xf numFmtId="164" fontId="5" fillId="3" borderId="1" applyAlignment="1" pivotButton="0" quotePrefix="0" xfId="0">
      <alignment horizontal="center"/>
    </xf>
    <xf numFmtId="167" fontId="4" fillId="0" borderId="1" applyAlignment="1" pivotButton="0" quotePrefix="0" xfId="0">
      <alignment horizontal="right"/>
    </xf>
    <xf numFmtId="165" fontId="0" fillId="4" borderId="1" applyAlignment="1" pivotButton="0" quotePrefix="0" xfId="0">
      <alignment horizontal="right"/>
    </xf>
    <xf numFmtId="165" fontId="4" fillId="0" borderId="1" applyAlignment="1" pivotButton="0" quotePrefix="0" xfId="0">
      <alignment horizontal="right"/>
    </xf>
    <xf numFmtId="0" fontId="0" fillId="0" borderId="1" pivotButton="0" quotePrefix="0" xfId="0"/>
    <xf numFmtId="0" fontId="2" fillId="0" borderId="1" pivotButton="0" quotePrefix="0" xfId="0"/>
    <xf numFmtId="0" fontId="7" fillId="0" borderId="1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8" customWidth="1" min="3" max="3"/>
    <col width="40" customWidth="1" min="4" max="4"/>
  </cols>
  <sheetData>
    <row r="1">
      <c r="A1" s="1" t="inlineStr">
        <is>
          <t>Swanbank Sovereign DC — Financial Model</t>
        </is>
      </c>
    </row>
    <row r="2">
      <c r="A2" s="2" t="inlineStr">
        <is>
          <t>Pilot case. Yellow cells are editable inputs; all other tabs reference them. Directional, pre-final-terms.</t>
        </is>
      </c>
    </row>
    <row r="4">
      <c r="A4" s="3" t="inlineStr">
        <is>
          <t>Capacity &amp; build</t>
        </is>
      </c>
    </row>
    <row r="5">
      <c r="A5" s="4" t="inlineStr">
        <is>
          <t>IT load (MW)</t>
        </is>
      </c>
      <c r="B5" s="5" t="n">
        <v>2</v>
      </c>
      <c r="C5" s="6" t="inlineStr">
        <is>
          <t>MW</t>
        </is>
      </c>
      <c r="D5" s="7" t="inlineStr">
        <is>
          <t>Pilot hall</t>
        </is>
      </c>
    </row>
    <row r="6">
      <c r="A6" s="4" t="inlineStr">
        <is>
          <t>Rack density (kW/rack)</t>
        </is>
      </c>
      <c r="B6" s="5" t="n">
        <v>80</v>
      </c>
      <c r="C6" s="6" t="inlineStr">
        <is>
          <t>kW</t>
        </is>
      </c>
      <c r="D6" s="7" t="inlineStr"/>
    </row>
    <row r="7">
      <c r="A7" s="4" t="inlineStr">
        <is>
          <t>GPU power (W)</t>
        </is>
      </c>
      <c r="B7" s="5" t="n">
        <v>700</v>
      </c>
      <c r="C7" s="6" t="inlineStr">
        <is>
          <t>W</t>
        </is>
      </c>
      <c r="D7" s="7" t="inlineStr">
        <is>
          <t>H100-class</t>
        </is>
      </c>
    </row>
    <row r="8">
      <c r="A8" s="4" t="inlineStr">
        <is>
          <t>PUE (facility overhead)</t>
        </is>
      </c>
      <c r="B8" s="5" t="n">
        <v>1.25</v>
      </c>
      <c r="C8" s="6" t="inlineStr">
        <is>
          <t>x</t>
        </is>
      </c>
      <c r="D8" s="7" t="inlineStr">
        <is>
          <t>Closed-loop liquid — efficient</t>
        </is>
      </c>
    </row>
    <row r="9">
      <c r="A9" s="4" t="inlineStr">
        <is>
          <t>GPUs per rack</t>
        </is>
      </c>
      <c r="B9" s="8">
        <f>ROUND(B5*1000/B6,0)</f>
        <v/>
      </c>
      <c r="C9" s="6" t="inlineStr">
        <is>
          <t>#</t>
        </is>
      </c>
      <c r="D9" s="7">
        <f> density / GPU power</f>
        <v/>
      </c>
    </row>
    <row r="10">
      <c r="A10" s="4" t="inlineStr">
        <is>
          <t>Total racks</t>
        </is>
      </c>
      <c r="B10" s="8">
        <f>ROUND(B4*1000/B5,0)</f>
        <v/>
      </c>
      <c r="C10" s="6" t="inlineStr">
        <is>
          <t>#</t>
        </is>
      </c>
      <c r="D10" s="7">
        <f> IT MW / density</f>
        <v/>
      </c>
    </row>
    <row r="11">
      <c r="A11" s="4" t="inlineStr">
        <is>
          <t>Total GPUs</t>
        </is>
      </c>
      <c r="B11" s="8">
        <f>B9*B10</f>
        <v/>
      </c>
      <c r="C11" s="6" t="inlineStr">
        <is>
          <t>#</t>
        </is>
      </c>
      <c r="D11" s="7">
        <f> racks x GPUs/rack</f>
        <v/>
      </c>
    </row>
    <row r="12">
      <c r="A12" s="3" t="inlineStr">
        <is>
          <t>Revenue</t>
        </is>
      </c>
    </row>
    <row r="13">
      <c r="A13" s="4" t="inlineStr">
        <is>
          <t>Rental price ($/GPU-hr)</t>
        </is>
      </c>
      <c r="B13" s="5" t="n">
        <v>2.35</v>
      </c>
      <c r="C13" s="6" t="inlineStr">
        <is>
          <t>$</t>
        </is>
      </c>
      <c r="D13" s="7" t="inlineStr">
        <is>
          <t>1-yr contract, 2026 mkt</t>
        </is>
      </c>
    </row>
    <row r="14">
      <c r="A14" s="4" t="inlineStr">
        <is>
          <t>Utilisation (%)</t>
        </is>
      </c>
      <c r="B14" s="9" t="n">
        <v>0.85</v>
      </c>
      <c r="C14" s="6" t="inlineStr">
        <is>
          <t>%</t>
        </is>
      </c>
      <c r="D14" s="7" t="inlineStr">
        <is>
          <t>Blended sold capacity</t>
        </is>
      </c>
    </row>
    <row r="15">
      <c r="A15" s="4" t="inlineStr">
        <is>
          <t>Revenue hours / yr</t>
        </is>
      </c>
      <c r="B15" s="10" t="n">
        <v>8760</v>
      </c>
      <c r="C15" s="6" t="inlineStr">
        <is>
          <t>hr</t>
        </is>
      </c>
      <c r="D15" s="7" t="inlineStr"/>
    </row>
    <row r="16">
      <c r="A16" s="3" t="inlineStr">
        <is>
          <t>Operating cost</t>
        </is>
      </c>
    </row>
    <row r="17">
      <c r="A17" s="4" t="inlineStr">
        <is>
          <t>Energy price ($/MWh)</t>
        </is>
      </c>
      <c r="B17" s="5" t="n">
        <v>65</v>
      </c>
      <c r="C17" s="6" t="inlineStr">
        <is>
          <t>$</t>
        </is>
      </c>
      <c r="D17" s="7" t="inlineStr">
        <is>
          <t>AEMO QLD Q1'26 benchmark</t>
        </is>
      </c>
    </row>
    <row r="18">
      <c r="A18" s="4" t="inlineStr">
        <is>
          <t>Powerlink C&amp;A ($/yr)</t>
        </is>
      </c>
      <c r="B18" s="10" t="n">
        <v>2500000</v>
      </c>
      <c r="C18" s="6" t="inlineStr">
        <is>
          <t>$</t>
        </is>
      </c>
      <c r="D18" s="7" t="inlineStr">
        <is>
          <t>Connection &amp; access, N-1</t>
        </is>
      </c>
    </row>
    <row r="19">
      <c r="A19" s="4" t="inlineStr">
        <is>
          <t>Land lease ($/yr)</t>
        </is>
      </c>
      <c r="B19" s="10" t="n">
        <v>1500000</v>
      </c>
      <c r="C19" s="6" t="inlineStr">
        <is>
          <t>$</t>
        </is>
      </c>
      <c r="D19" s="7" t="inlineStr">
        <is>
          <t>99 ha — PLACEHOLDER, awaiting rate</t>
        </is>
      </c>
    </row>
    <row r="20">
      <c r="A20" s="4" t="inlineStr">
        <is>
          <t>Staff &amp; ops ($/yr)</t>
        </is>
      </c>
      <c r="B20" s="10" t="n">
        <v>2500000</v>
      </c>
      <c r="C20" s="6" t="inlineStr">
        <is>
          <t>$</t>
        </is>
      </c>
      <c r="D20" s="7" t="inlineStr">
        <is>
          <t>SRE, security, maintenance</t>
        </is>
      </c>
    </row>
    <row r="21">
      <c r="A21" s="4" t="inlineStr">
        <is>
          <t>Bandwidth &amp; misc ($/yr)</t>
        </is>
      </c>
      <c r="B21" s="10" t="n">
        <v>750000</v>
      </c>
      <c r="C21" s="6" t="inlineStr">
        <is>
          <t>$</t>
        </is>
      </c>
      <c r="D21" s="7" t="inlineStr"/>
    </row>
    <row r="22">
      <c r="A22" s="3" t="inlineStr">
        <is>
          <t>Capital</t>
        </is>
      </c>
    </row>
    <row r="23">
      <c r="A23" s="4" t="inlineStr">
        <is>
          <t>GPU capex ($/GPU)</t>
        </is>
      </c>
      <c r="B23" s="10" t="n">
        <v>28000</v>
      </c>
      <c r="C23" s="6" t="inlineStr">
        <is>
          <t>$</t>
        </is>
      </c>
      <c r="D23" s="7" t="inlineStr">
        <is>
          <t>H100-class server-allocated</t>
        </is>
      </c>
    </row>
    <row r="24">
      <c r="A24" s="4" t="inlineStr">
        <is>
          <t>Fit-out $/kW (power+cooling+civil)</t>
        </is>
      </c>
      <c r="B24" s="10" t="n">
        <v>9000</v>
      </c>
      <c r="C24" s="6" t="inlineStr">
        <is>
          <t>$</t>
        </is>
      </c>
      <c r="D24" s="7" t="inlineStr">
        <is>
          <t>Liquid-cooled hall, $/IT-kW</t>
        </is>
      </c>
    </row>
    <row r="25">
      <c r="A25" s="4" t="inlineStr">
        <is>
          <t>Depreciation life (yrs)</t>
        </is>
      </c>
      <c r="B25" s="5" t="n">
        <v>4</v>
      </c>
      <c r="C25" s="6" t="inlineStr">
        <is>
          <t>yr</t>
        </is>
      </c>
      <c r="D25" s="7" t="inlineStr">
        <is>
          <t>GPU economic life</t>
        </is>
      </c>
    </row>
  </sheetData>
  <mergeCells count="6">
    <mergeCell ref="A1:D1"/>
    <mergeCell ref="A22:D22"/>
    <mergeCell ref="A12:D12"/>
    <mergeCell ref="A4:D4"/>
    <mergeCell ref="A2:D2"/>
    <mergeCell ref="A16:D1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30" customWidth="1" min="3" max="3"/>
  </cols>
  <sheetData>
    <row r="1">
      <c r="A1" s="1" t="inlineStr">
        <is>
          <t>Annual P&amp;L — pilot (steady-state, Yr 1 stabilised)</t>
        </is>
      </c>
    </row>
    <row r="2">
      <c r="A2" s="2" t="inlineStr">
        <is>
          <t>All cells reference Assumptions. Edit inputs there; this recalculates.</t>
        </is>
      </c>
    </row>
    <row r="4">
      <c r="A4" s="11" t="inlineStr">
        <is>
          <t>Line</t>
        </is>
      </c>
      <c r="B4" s="11" t="inlineStr">
        <is>
          <t>Annual ($)</t>
        </is>
      </c>
      <c r="C4" s="11" t="inlineStr">
        <is>
          <t>Note</t>
        </is>
      </c>
    </row>
    <row r="5">
      <c r="A5" s="12" t="inlineStr">
        <is>
          <t>Installed GPUs</t>
        </is>
      </c>
      <c r="B5" s="13">
        <f>Assumptions!$B$11</f>
        <v/>
      </c>
      <c r="C5" s="7" t="inlineStr">
        <is>
          <t>count</t>
        </is>
      </c>
    </row>
    <row r="6">
      <c r="A6" s="3" t="inlineStr">
        <is>
          <t>REVENUE</t>
        </is>
      </c>
    </row>
    <row r="7">
      <c r="A7" s="4" t="inlineStr">
        <is>
          <t>Gross rental revenue</t>
        </is>
      </c>
      <c r="B7" s="14">
        <f>Assumptions!$B$11*Assumptions!$B$13*Assumptions!$B$14*Assumptions!$B$15</f>
        <v/>
      </c>
      <c r="C7" s="7" t="inlineStr">
        <is>
          <t>GPUs x $/hr x util x hrs</t>
        </is>
      </c>
    </row>
    <row r="8">
      <c r="A8" s="3" t="inlineStr">
        <is>
          <t>OPERATING COST</t>
        </is>
      </c>
    </row>
    <row r="9">
      <c r="A9" s="12" t="inlineStr">
        <is>
          <t>Energy</t>
        </is>
      </c>
      <c r="B9" s="14">
        <f>-Assumptions!$B$5*Assumptions!$B$8*Assumptions!$B$17*Assumptions!$B$15</f>
        <v/>
      </c>
      <c r="C9" s="7" t="inlineStr">
        <is>
          <t>MW x PUE x $/MWh x hrs</t>
        </is>
      </c>
    </row>
    <row r="10">
      <c r="A10" s="12" t="inlineStr">
        <is>
          <t>Powerlink C&amp;A</t>
        </is>
      </c>
      <c r="B10" s="14">
        <f>-Assumptions!$B$18</f>
        <v/>
      </c>
      <c r="C10" s="7" t="inlineStr"/>
    </row>
    <row r="11">
      <c r="A11" s="12" t="inlineStr">
        <is>
          <t>Land lease</t>
        </is>
      </c>
      <c r="B11" s="14">
        <f>-Assumptions!$B$19</f>
        <v/>
      </c>
      <c r="C11" s="7" t="inlineStr">
        <is>
          <t>placeholder</t>
        </is>
      </c>
    </row>
    <row r="12">
      <c r="A12" s="12" t="inlineStr">
        <is>
          <t>Staff &amp; ops</t>
        </is>
      </c>
      <c r="B12" s="14">
        <f>-Assumptions!$B$20</f>
        <v/>
      </c>
      <c r="C12" s="7" t="inlineStr"/>
    </row>
    <row r="13">
      <c r="A13" s="12" t="inlineStr">
        <is>
          <t>Bandwidth &amp; misc</t>
        </is>
      </c>
      <c r="B13" s="14">
        <f>-Assumptions!$B$21</f>
        <v/>
      </c>
      <c r="C13" s="7" t="inlineStr"/>
    </row>
    <row r="14">
      <c r="A14" s="12" t="inlineStr">
        <is>
          <t>Total opex</t>
        </is>
      </c>
      <c r="B14" s="14">
        <f>SUM(B8:B12)</f>
        <v/>
      </c>
      <c r="C14" s="7" t="inlineStr"/>
    </row>
    <row r="15">
      <c r="A15" s="4" t="inlineStr">
        <is>
          <t>EBITDA</t>
        </is>
      </c>
      <c r="B15" s="15">
        <f>B6+B13</f>
        <v/>
      </c>
      <c r="C15" s="7" t="inlineStr">
        <is>
          <t>Revenue - opex</t>
        </is>
      </c>
    </row>
    <row r="16">
      <c r="A16" s="12" t="inlineStr">
        <is>
          <t>EBITDA margin</t>
        </is>
      </c>
      <c r="B16" s="16">
        <f>B14/B6</f>
        <v/>
      </c>
      <c r="C16" s="7" t="inlineStr"/>
    </row>
    <row r="17">
      <c r="A17" s="3" t="inlineStr">
        <is>
          <t>CAPITAL</t>
        </is>
      </c>
    </row>
    <row r="18">
      <c r="A18" s="12" t="inlineStr">
        <is>
          <t>GPU capex</t>
        </is>
      </c>
      <c r="B18" s="14">
        <f>-Assumptions!$B$11*Assumptions!$B$23</f>
        <v/>
      </c>
      <c r="C18" s="7" t="inlineStr">
        <is>
          <t>one-time</t>
        </is>
      </c>
    </row>
    <row r="19">
      <c r="A19" s="12" t="inlineStr">
        <is>
          <t>Fit-out capex</t>
        </is>
      </c>
      <c r="B19" s="14">
        <f>-Assumptions!$B$5*1000*Assumptions!$B$24</f>
        <v/>
      </c>
      <c r="C19" s="7" t="inlineStr">
        <is>
          <t>one-time</t>
        </is>
      </c>
    </row>
    <row r="20">
      <c r="A20" s="4" t="inlineStr">
        <is>
          <t>Total capex</t>
        </is>
      </c>
      <c r="B20" s="14">
        <f>B17+B18</f>
        <v/>
      </c>
      <c r="C20" s="7" t="inlineStr"/>
    </row>
    <row r="21">
      <c r="A21" s="3" t="inlineStr">
        <is>
          <t>RETURNS</t>
        </is>
      </c>
    </row>
    <row r="22">
      <c r="A22" s="4" t="inlineStr">
        <is>
          <t>Simple payback (yrs)</t>
        </is>
      </c>
      <c r="B22" s="17">
        <f>-B19/B14</f>
        <v/>
      </c>
      <c r="C22" s="7" t="inlineStr">
        <is>
          <t>capex / EBITDA</t>
        </is>
      </c>
    </row>
    <row r="23">
      <c r="A23" s="12" t="inlineStr">
        <is>
          <t>Pre-tax ROI (Yr1 EBITDA / capex)</t>
        </is>
      </c>
      <c r="B23" s="18">
        <f>B14/-B19</f>
        <v/>
      </c>
      <c r="C23" s="7" t="inlineStr"/>
    </row>
    <row r="24">
      <c r="A24" s="12" t="inlineStr">
        <is>
          <t>Annual depreciation</t>
        </is>
      </c>
      <c r="B24" s="14">
        <f>B19/Assumptions!$B$25</f>
        <v/>
      </c>
      <c r="C24" s="7" t="inlineStr">
        <is>
          <t>straight-line</t>
        </is>
      </c>
    </row>
    <row r="25">
      <c r="A25" s="12" t="inlineStr">
        <is>
          <t>Approx. pre-tax profit (post-dep)</t>
        </is>
      </c>
      <c r="B25" s="14">
        <f>B14+B23</f>
        <v/>
      </c>
      <c r="C25" s="7" t="inlineStr">
        <is>
          <t>EBITDA - dep</t>
        </is>
      </c>
    </row>
  </sheetData>
  <mergeCells count="6">
    <mergeCell ref="A1:C1"/>
    <mergeCell ref="A8:C8"/>
    <mergeCell ref="A6:C6"/>
    <mergeCell ref="A17:C17"/>
    <mergeCell ref="A21:C2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9" customWidth="1" min="2" max="2"/>
    <col width="14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Build-out staircase — revenue scales with IT MW</t>
        </is>
      </c>
    </row>
    <row r="2">
      <c r="A2" s="2" t="inlineStr">
        <is>
          <t>Holds per-MW economics from the pilot constant; scales load. Directional.</t>
        </is>
      </c>
    </row>
    <row r="4">
      <c r="A4" s="11" t="inlineStr">
        <is>
          <t>Stage</t>
        </is>
      </c>
      <c r="B4" s="11" t="inlineStr">
        <is>
          <t>IT MW</t>
        </is>
      </c>
      <c r="C4" s="11" t="inlineStr">
        <is>
          <t>GPUs</t>
        </is>
      </c>
      <c r="D4" s="11" t="inlineStr">
        <is>
          <t>Gross revenue $/yr</t>
        </is>
      </c>
      <c r="E4" s="11" t="inlineStr">
        <is>
          <t>EBITDA $/yr</t>
        </is>
      </c>
      <c r="F4" s="11" t="inlineStr">
        <is>
          <t>Total capex $</t>
        </is>
      </c>
    </row>
    <row r="5">
      <c r="A5" s="4" t="inlineStr">
        <is>
          <t>Pilot</t>
        </is>
      </c>
      <c r="B5" s="5" t="n">
        <v>2</v>
      </c>
      <c r="C5" s="13">
        <f>B5*1000/Assumptions!$B$6*Assumptions!$B$9</f>
        <v/>
      </c>
      <c r="D5" s="14">
        <f>C5*Assumptions!$B$13*Assumptions!$B$14*Assumptions!$B$15</f>
        <v/>
      </c>
      <c r="E5" s="14">
        <f>D5-B5*Assumptions!$B$8*Assumptions!$B$17*Assumptions!$B$15-((Assumptions!$B$18+Assumptions!$B$19+Assumptions!$B$20+Assumptions!$B$21)*B5/Assumptions!$B$5)</f>
        <v/>
      </c>
      <c r="F5" s="14">
        <f>C5*Assumptions!$B$23+B5*1000*Assumptions!$B$24</f>
        <v/>
      </c>
    </row>
    <row r="6">
      <c r="A6" s="4" t="inlineStr">
        <is>
          <t>Phase 1</t>
        </is>
      </c>
      <c r="B6" s="5" t="n">
        <v>20</v>
      </c>
      <c r="C6" s="13">
        <f>B6*1000/Assumptions!$B$6*Assumptions!$B$9</f>
        <v/>
      </c>
      <c r="D6" s="14">
        <f>C6*Assumptions!$B$13*Assumptions!$B$14*Assumptions!$B$15</f>
        <v/>
      </c>
      <c r="E6" s="14">
        <f>D6-B6*Assumptions!$B$8*Assumptions!$B$17*Assumptions!$B$15-((Assumptions!$B$18+Assumptions!$B$19+Assumptions!$B$20+Assumptions!$B$21)*B6/Assumptions!$B$5)</f>
        <v/>
      </c>
      <c r="F6" s="14">
        <f>C6*Assumptions!$B$23+B6*1000*Assumptions!$B$24</f>
        <v/>
      </c>
    </row>
    <row r="7">
      <c r="A7" s="4" t="inlineStr">
        <is>
          <t>Build-out</t>
        </is>
      </c>
      <c r="B7" s="5" t="n">
        <v>100</v>
      </c>
      <c r="C7" s="13">
        <f>B7*1000/Assumptions!$B$6*Assumptions!$B$9</f>
        <v/>
      </c>
      <c r="D7" s="14">
        <f>C7*Assumptions!$B$13*Assumptions!$B$14*Assumptions!$B$15</f>
        <v/>
      </c>
      <c r="E7" s="14">
        <f>D7-B7*Assumptions!$B$8*Assumptions!$B$17*Assumptions!$B$15-((Assumptions!$B$18+Assumptions!$B$19+Assumptions!$B$20+Assumptions!$B$21)*B7/Assumptions!$B$5)</f>
        <v/>
      </c>
      <c r="F7" s="14">
        <f>C7*Assumptions!$B$23+B7*1000*Assumptions!$B$24</f>
        <v/>
      </c>
    </row>
    <row r="8">
      <c r="A8" s="4" t="inlineStr">
        <is>
          <t>Toward envelope</t>
        </is>
      </c>
      <c r="B8" s="5" t="n">
        <v>300</v>
      </c>
      <c r="C8" s="13">
        <f>B8*1000/Assumptions!$B$6*Assumptions!$B$9</f>
        <v/>
      </c>
      <c r="D8" s="14">
        <f>C8*Assumptions!$B$13*Assumptions!$B$14*Assumptions!$B$15</f>
        <v/>
      </c>
      <c r="E8" s="14">
        <f>D8-B8*Assumptions!$B$8*Assumptions!$B$17*Assumptions!$B$15-((Assumptions!$B$18+Assumptions!$B$19+Assumptions!$B$20+Assumptions!$B$21)*B8/Assumptions!$B$5)</f>
        <v/>
      </c>
      <c r="F8" s="14">
        <f>C8*Assumptions!$B$23+B8*1000*Assumptions!$B$24</f>
        <v/>
      </c>
    </row>
    <row r="10">
      <c r="A10" s="19" t="inlineStr">
        <is>
          <t>Note: fixed opex scaled linearly per-MW for simplicity — real build-out enjoys operating leverage (Powerlink C&amp;A and land are largely fixed), so larger stages have structurally higher margins than shown.</t>
        </is>
      </c>
    </row>
    <row r="11"/>
  </sheetData>
  <mergeCells count="3">
    <mergeCell ref="A2:F2"/>
    <mergeCell ref="A1:F1"/>
    <mergeCell ref="A10:F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" t="inlineStr">
        <is>
          <t>Sensitivity — EBITDA vs rental price x utilisation (pilot)</t>
        </is>
      </c>
    </row>
    <row r="2">
      <c r="A2" s="2" t="inlineStr">
        <is>
          <t>Rows = $/GPU-hr · Cols = utilisation. Recomputes pilot EBITDA from Assumptions.</t>
        </is>
      </c>
    </row>
    <row r="4">
      <c r="A4" s="11" t="inlineStr">
        <is>
          <t>$/GPU-hr \ util</t>
        </is>
      </c>
      <c r="B4" s="20" t="n">
        <v>0.65</v>
      </c>
      <c r="C4" s="20" t="n">
        <v>0.75</v>
      </c>
      <c r="D4" s="20" t="n">
        <v>0.85</v>
      </c>
      <c r="E4" s="20" t="n">
        <v>0.95</v>
      </c>
    </row>
    <row r="5">
      <c r="A5" s="21" t="n">
        <v>1.8</v>
      </c>
      <c r="B5" s="14">
        <f>Assumptions!$B$11*1.8*0.65*Assumptions!$B$15-Assumptions!$B$5*Assumptions!$B$8*Assumptions!$B$17*Assumptions!$B$15-(Assumptions!$B$18+Assumptions!$B$19+Assumptions!$B$20+Assumptions!$B$21)</f>
        <v/>
      </c>
      <c r="C5" s="14">
        <f>Assumptions!$B$11*1.8*0.75*Assumptions!$B$15-Assumptions!$B$5*Assumptions!$B$8*Assumptions!$B$17*Assumptions!$B$15-(Assumptions!$B$18+Assumptions!$B$19+Assumptions!$B$20+Assumptions!$B$21)</f>
        <v/>
      </c>
      <c r="D5" s="14">
        <f>Assumptions!$B$11*1.8*0.85*Assumptions!$B$15-Assumptions!$B$5*Assumptions!$B$8*Assumptions!$B$17*Assumptions!$B$15-(Assumptions!$B$18+Assumptions!$B$19+Assumptions!$B$20+Assumptions!$B$21)</f>
        <v/>
      </c>
      <c r="E5" s="14">
        <f>Assumptions!$B$11*1.8*0.95*Assumptions!$B$15-Assumptions!$B$5*Assumptions!$B$8*Assumptions!$B$17*Assumptions!$B$15-(Assumptions!$B$18+Assumptions!$B$19+Assumptions!$B$20+Assumptions!$B$21)</f>
        <v/>
      </c>
    </row>
    <row r="6">
      <c r="A6" s="21" t="n">
        <v>2.1</v>
      </c>
      <c r="B6" s="14">
        <f>Assumptions!$B$11*2.1*0.65*Assumptions!$B$15-Assumptions!$B$5*Assumptions!$B$8*Assumptions!$B$17*Assumptions!$B$15-(Assumptions!$B$18+Assumptions!$B$19+Assumptions!$B$20+Assumptions!$B$21)</f>
        <v/>
      </c>
      <c r="C6" s="14">
        <f>Assumptions!$B$11*2.1*0.75*Assumptions!$B$15-Assumptions!$B$5*Assumptions!$B$8*Assumptions!$B$17*Assumptions!$B$15-(Assumptions!$B$18+Assumptions!$B$19+Assumptions!$B$20+Assumptions!$B$21)</f>
        <v/>
      </c>
      <c r="D6" s="14">
        <f>Assumptions!$B$11*2.1*0.85*Assumptions!$B$15-Assumptions!$B$5*Assumptions!$B$8*Assumptions!$B$17*Assumptions!$B$15-(Assumptions!$B$18+Assumptions!$B$19+Assumptions!$B$20+Assumptions!$B$21)</f>
        <v/>
      </c>
      <c r="E6" s="14">
        <f>Assumptions!$B$11*2.1*0.95*Assumptions!$B$15-Assumptions!$B$5*Assumptions!$B$8*Assumptions!$B$17*Assumptions!$B$15-(Assumptions!$B$18+Assumptions!$B$19+Assumptions!$B$20+Assumptions!$B$21)</f>
        <v/>
      </c>
    </row>
    <row r="7">
      <c r="A7" s="21" t="n">
        <v>2.35</v>
      </c>
      <c r="B7" s="14">
        <f>Assumptions!$B$11*2.35*0.65*Assumptions!$B$15-Assumptions!$B$5*Assumptions!$B$8*Assumptions!$B$17*Assumptions!$B$15-(Assumptions!$B$18+Assumptions!$B$19+Assumptions!$B$20+Assumptions!$B$21)</f>
        <v/>
      </c>
      <c r="C7" s="14">
        <f>Assumptions!$B$11*2.35*0.75*Assumptions!$B$15-Assumptions!$B$5*Assumptions!$B$8*Assumptions!$B$17*Assumptions!$B$15-(Assumptions!$B$18+Assumptions!$B$19+Assumptions!$B$20+Assumptions!$B$21)</f>
        <v/>
      </c>
      <c r="D7" s="22">
        <f>Assumptions!$B$11*2.35*0.85*Assumptions!$B$15-Assumptions!$B$5*Assumptions!$B$8*Assumptions!$B$17*Assumptions!$B$15-(Assumptions!$B$18+Assumptions!$B$19+Assumptions!$B$20+Assumptions!$B$21)</f>
        <v/>
      </c>
      <c r="E7" s="14">
        <f>Assumptions!$B$11*2.35*0.95*Assumptions!$B$15-Assumptions!$B$5*Assumptions!$B$8*Assumptions!$B$17*Assumptions!$B$15-(Assumptions!$B$18+Assumptions!$B$19+Assumptions!$B$20+Assumptions!$B$21)</f>
        <v/>
      </c>
    </row>
    <row r="8">
      <c r="A8" s="21" t="n">
        <v>2.8</v>
      </c>
      <c r="B8" s="14">
        <f>Assumptions!$B$11*2.8*0.65*Assumptions!$B$15-Assumptions!$B$5*Assumptions!$B$8*Assumptions!$B$17*Assumptions!$B$15-(Assumptions!$B$18+Assumptions!$B$19+Assumptions!$B$20+Assumptions!$B$21)</f>
        <v/>
      </c>
      <c r="C8" s="14">
        <f>Assumptions!$B$11*2.8*0.75*Assumptions!$B$15-Assumptions!$B$5*Assumptions!$B$8*Assumptions!$B$17*Assumptions!$B$15-(Assumptions!$B$18+Assumptions!$B$19+Assumptions!$B$20+Assumptions!$B$21)</f>
        <v/>
      </c>
      <c r="D8" s="14">
        <f>Assumptions!$B$11*2.8*0.85*Assumptions!$B$15-Assumptions!$B$5*Assumptions!$B$8*Assumptions!$B$17*Assumptions!$B$15-(Assumptions!$B$18+Assumptions!$B$19+Assumptions!$B$20+Assumptions!$B$21)</f>
        <v/>
      </c>
      <c r="E8" s="14">
        <f>Assumptions!$B$11*2.8*0.95*Assumptions!$B$15-Assumptions!$B$5*Assumptions!$B$8*Assumptions!$B$17*Assumptions!$B$15-(Assumptions!$B$18+Assumptions!$B$19+Assumptions!$B$20+Assumptions!$B$21)</f>
        <v/>
      </c>
    </row>
    <row r="9">
      <c r="A9" s="21" t="n">
        <v>3.3</v>
      </c>
      <c r="B9" s="14">
        <f>Assumptions!$B$11*3.3*0.65*Assumptions!$B$15-Assumptions!$B$5*Assumptions!$B$8*Assumptions!$B$17*Assumptions!$B$15-(Assumptions!$B$18+Assumptions!$B$19+Assumptions!$B$20+Assumptions!$B$21)</f>
        <v/>
      </c>
      <c r="C9" s="14">
        <f>Assumptions!$B$11*3.3*0.75*Assumptions!$B$15-Assumptions!$B$5*Assumptions!$B$8*Assumptions!$B$17*Assumptions!$B$15-(Assumptions!$B$18+Assumptions!$B$19+Assumptions!$B$20+Assumptions!$B$21)</f>
        <v/>
      </c>
      <c r="D9" s="14">
        <f>Assumptions!$B$11*3.3*0.85*Assumptions!$B$15-Assumptions!$B$5*Assumptions!$B$8*Assumptions!$B$17*Assumptions!$B$15-(Assumptions!$B$18+Assumptions!$B$19+Assumptions!$B$20+Assumptions!$B$21)</f>
        <v/>
      </c>
      <c r="E9" s="14">
        <f>Assumptions!$B$11*3.3*0.95*Assumptions!$B$15-Assumptions!$B$5*Assumptions!$B$8*Assumptions!$B$17*Assumptions!$B$15-(Assumptions!$B$18+Assumptions!$B$19+Assumptions!$B$20+Assumptions!$B$21)</f>
        <v/>
      </c>
    </row>
    <row r="11">
      <c r="A11" s="2" t="inlineStr">
        <is>
          <t>Green = base case (≈$2.35/hr, 85% util). Each cell is annual pilot EBITDA before capex/depreciation.</t>
        </is>
      </c>
    </row>
  </sheetData>
  <mergeCells count="3">
    <mergeCell ref="A11:G11"/>
    <mergeCell ref="A2:G2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2" customWidth="1" min="3" max="3"/>
    <col width="44" customWidth="1" min="4" max="4"/>
  </cols>
  <sheetData>
    <row r="1">
      <c r="A1" s="1" t="inlineStr">
        <is>
          <t>Use of funds — what the pilot raise buys</t>
        </is>
      </c>
    </row>
    <row r="2">
      <c r="A2" s="2" t="inlineStr">
        <is>
          <t>Pilot ~2 MW. Capex lines reference Assumptions; working capital + contingency are raise-sizing inputs.</t>
        </is>
      </c>
    </row>
    <row r="4">
      <c r="A4" s="11" t="inlineStr">
        <is>
          <t>Use</t>
        </is>
      </c>
      <c r="B4" s="11" t="inlineStr">
        <is>
          <t>Amount ($)</t>
        </is>
      </c>
      <c r="C4" s="11" t="inlineStr">
        <is>
          <t>% of raise</t>
        </is>
      </c>
      <c r="D4" s="11" t="inlineStr">
        <is>
          <t>Basis</t>
        </is>
      </c>
    </row>
    <row r="5">
      <c r="A5" s="4" t="inlineStr">
        <is>
          <t>GPU hardware</t>
        </is>
      </c>
      <c r="B5" s="14">
        <f>Assumptions!$B$11*Assumptions!$B$23</f>
        <v/>
      </c>
      <c r="C5" s="16">
        <f>B5/$B$11</f>
        <v/>
      </c>
      <c r="D5" s="7" t="inlineStr">
        <is>
          <t>H100-class servers, networking, storage</t>
        </is>
      </c>
    </row>
    <row r="6">
      <c r="A6" s="4" t="inlineStr">
        <is>
          <t>Power + cooling fit-out</t>
        </is>
      </c>
      <c r="B6" s="14">
        <f>Assumptions!$B$5*1000*Assumptions!$B$24</f>
        <v/>
      </c>
      <c r="C6" s="16">
        <f>B6/$B$11</f>
        <v/>
      </c>
      <c r="D6" s="7" t="inlineStr">
        <is>
          <t>275kV→33kV→LV, rectifiers, liquid-cooling loop, civil</t>
        </is>
      </c>
    </row>
    <row r="7">
      <c r="A7" s="4" t="inlineStr">
        <is>
          <t>Grid connection (yr-1 C&amp;A)</t>
        </is>
      </c>
      <c r="B7" s="14">
        <f>Assumptions!$B$18</f>
        <v/>
      </c>
      <c r="C7" s="16">
        <f>B7/$B$11</f>
        <v/>
      </c>
      <c r="D7" s="7" t="inlineStr">
        <is>
          <t>Powerlink Connection &amp; Access, first year</t>
        </is>
      </c>
    </row>
    <row r="8">
      <c r="A8" s="4" t="inlineStr">
        <is>
          <t>Working capital (6 mo opex)</t>
        </is>
      </c>
      <c r="B8" s="14">
        <f>(Assumptions!$B$18+Assumptions!$B$19+Assumptions!$B$20+Assumptions!$B$21)/2</f>
        <v/>
      </c>
      <c r="C8" s="16">
        <f>B8/$B$11</f>
        <v/>
      </c>
      <c r="D8" s="7" t="inlineStr">
        <is>
          <t>Runway to revenue stabilisation</t>
        </is>
      </c>
    </row>
    <row r="9">
      <c r="A9" s="4" t="inlineStr">
        <is>
          <t>Team + setup (pre-revenue)</t>
        </is>
      </c>
      <c r="B9" s="10" t="n">
        <v>1500000</v>
      </c>
      <c r="C9" s="16">
        <f>B9/$B$11</f>
        <v/>
      </c>
      <c r="D9" s="7" t="inlineStr">
        <is>
          <t>Cofounder + core ops hires, legal, entity, insurance</t>
        </is>
      </c>
    </row>
    <row r="10">
      <c r="A10" s="4" t="inlineStr">
        <is>
          <t>Subtotal</t>
        </is>
      </c>
      <c r="B10" s="23">
        <f>SUM(B5:B9)</f>
        <v/>
      </c>
      <c r="C10" s="24" t="inlineStr"/>
      <c r="D10" s="24" t="inlineStr"/>
    </row>
    <row r="11">
      <c r="A11" s="4" t="inlineStr">
        <is>
          <t>Contingency (10%)</t>
        </is>
      </c>
      <c r="B11" s="14">
        <f>B10*0.10</f>
        <v/>
      </c>
      <c r="C11" s="24" t="inlineStr"/>
      <c r="D11" s="25" t="inlineStr">
        <is>
          <t>Buffer on capex + setup</t>
        </is>
      </c>
    </row>
    <row r="12">
      <c r="A12" s="26" t="inlineStr">
        <is>
          <t>TOTAL RAISE (pilot)</t>
        </is>
      </c>
      <c r="B12" s="15">
        <f>B10+B11</f>
        <v/>
      </c>
      <c r="C12" s="8" t="inlineStr">
        <is>
          <t>100%</t>
        </is>
      </c>
      <c r="D12" s="24" t="inlineStr"/>
    </row>
    <row r="14">
      <c r="A14" s="19" t="inlineStr">
        <is>
          <t>Note: GPUs are ~80% of the raise — a financeable, resaleable asset (not sunk). A GPU-leasing / vendor-financing structure can materially cut the equity cheque; this sheet shows the all-equity worst case.</t>
        </is>
      </c>
    </row>
    <row r="15"/>
  </sheetData>
  <mergeCells count="3">
    <mergeCell ref="A1:D1"/>
    <mergeCell ref="A14:D15"/>
    <mergeCell ref="A2:D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model</t>
        </is>
      </c>
    </row>
    <row r="3">
      <c r="A3" s="27" t="inlineStr">
        <is>
          <t>1. Edit only the yellow cells on the Assumptions tab. Every other tab references them.</t>
        </is>
      </c>
    </row>
    <row r="4">
      <c r="A4" s="27" t="inlineStr">
        <is>
          <t>2. P&amp;L = stabilised Year-1 pilot (~2 MW). Build-out scales the same per-MW economics.</t>
        </is>
      </c>
    </row>
    <row r="5">
      <c r="A5" s="27" t="inlineStr">
        <is>
          <t>3. Land lease ($1.5m/yr) is a PLACEHOLDER pending the real $/ha/yr rate — flagged on Assumptions.</t>
        </is>
      </c>
    </row>
    <row r="6">
      <c r="A6" s="27" t="inlineStr">
        <is>
          <t>4. Energy ($65/MWh) = AEMO QLD Q1 2026 wholesale benchmark; a behind-the-meter PPA should beat it.</t>
        </is>
      </c>
    </row>
    <row r="7">
      <c r="A7" s="27" t="inlineStr">
        <is>
          <t>5. Rental revenue ($2.35/GPU-hr) = 2026 1-yr H100 contract market; on-demand prices higher.</t>
        </is>
      </c>
    </row>
    <row r="8">
      <c r="A8" s="27" t="inlineStr">
        <is>
          <t>6. Gateway demand-aggregation upside (wholesale-vs-retail spread on routed frontier-lab traffic) is</t>
        </is>
      </c>
    </row>
    <row r="9">
      <c r="A9" s="27" t="inlineStr">
        <is>
          <t xml:space="preserve">   NOT modelled here — it is incremental margin on top of the owned-substrate P&amp;L.</t>
        </is>
      </c>
    </row>
    <row r="10">
      <c r="A10" s="27" t="inlineStr">
        <is>
          <t>7. Excludes: financing structure, tax, GST, ramp curve, contract take-or-pay. Directional only.</t>
        </is>
      </c>
    </row>
    <row r="11">
      <c r="A11" s="27" t="inlineStr">
        <is>
          <t>8. Figures are pre-final-terms and not investment advice.</t>
        </is>
      </c>
    </row>
  </sheetData>
  <mergeCells count="9">
    <mergeCell ref="A11:F11"/>
    <mergeCell ref="A10:F10"/>
    <mergeCell ref="A5:F5"/>
    <mergeCell ref="A9:F9"/>
    <mergeCell ref="A8:F8"/>
    <mergeCell ref="A6:F6"/>
    <mergeCell ref="A4:F4"/>
    <mergeCell ref="A3:F3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2026-06-09T15:48:57Z</dcterms:created>
  <dcterms:modified xmlns:dcterms="http://purl.org/dc/terms/" xmlns:xsi="http://www.w3.org/2001/XMLSchema-instance" xsi:type="dcterms:W3CDTF">2026-06-09T15:48:57Z</dcterms:modified>
</cp:coreProperties>
</file>